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O:\ENG\Web Pages\Wineries\"/>
    </mc:Choice>
  </mc:AlternateContent>
  <bookViews>
    <workbookView xWindow="0" yWindow="0" windowWidth="28800" windowHeight="12630"/>
  </bookViews>
  <sheets>
    <sheet name="Winery Emissions" sheetId="1" r:id="rId1"/>
    <sheet name="Wastewater Ponds" sheetId="2" r:id="rId2"/>
  </sheets>
  <definedNames>
    <definedName name="_xlnm.Print_Area" localSheetId="1">'Wastewater Ponds'!$A$1:$T$23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1" i="1" l="1"/>
  <c r="R31" i="1"/>
  <c r="P31" i="1"/>
  <c r="N5" i="2" l="1"/>
  <c r="N4" i="2" l="1"/>
  <c r="N3" i="2"/>
  <c r="D4" i="2"/>
  <c r="D3" i="2"/>
  <c r="N5" i="1" l="1"/>
  <c r="N4" i="1"/>
  <c r="N3" i="1"/>
  <c r="H23" i="2" l="1"/>
  <c r="F23" i="2"/>
  <c r="F19" i="2"/>
  <c r="F18" i="2"/>
  <c r="Q10" i="2"/>
  <c r="T24" i="1"/>
  <c r="R24" i="1"/>
  <c r="P24" i="1"/>
  <c r="N24" i="1"/>
  <c r="T22" i="1"/>
  <c r="T23" i="1" s="1"/>
  <c r="Q37" i="1" s="1"/>
  <c r="R22" i="1"/>
  <c r="R23" i="1" s="1"/>
  <c r="P37" i="1" s="1"/>
  <c r="P22" i="1"/>
  <c r="P23" i="1" s="1"/>
  <c r="O37" i="1" s="1"/>
  <c r="N22" i="1"/>
  <c r="N23" i="1" s="1"/>
  <c r="N37" i="1" s="1"/>
  <c r="Q12" i="1"/>
  <c r="Q15" i="1" s="1"/>
  <c r="Q17" i="1" s="1"/>
  <c r="Q16" i="1" l="1"/>
  <c r="P25" i="1"/>
  <c r="O38" i="1" s="1"/>
  <c r="R25" i="1"/>
  <c r="P38" i="1" s="1"/>
  <c r="T25" i="1"/>
  <c r="Q38" i="1" s="1"/>
  <c r="N25" i="1"/>
  <c r="N38" i="1" s="1"/>
  <c r="G33" i="1"/>
  <c r="G32" i="1"/>
  <c r="I48" i="1" l="1"/>
  <c r="I47" i="1"/>
  <c r="G41" i="1" l="1"/>
  <c r="Q18" i="1"/>
  <c r="G43" i="1" s="1"/>
  <c r="P32" i="1" l="1"/>
  <c r="O40" i="1" s="1"/>
  <c r="N31" i="1"/>
  <c r="R32" i="1"/>
  <c r="P40" i="1" s="1"/>
  <c r="T32" i="1"/>
  <c r="Q40" i="1" s="1"/>
  <c r="T29" i="1"/>
  <c r="T30" i="1" s="1"/>
  <c r="Q39" i="1" s="1"/>
  <c r="R29" i="1"/>
  <c r="R30" i="1" s="1"/>
  <c r="P39" i="1" s="1"/>
  <c r="P29" i="1"/>
  <c r="P30" i="1" s="1"/>
  <c r="O39" i="1" s="1"/>
  <c r="N29" i="1"/>
  <c r="Q35" i="1" l="1"/>
  <c r="P35" i="1"/>
  <c r="O35" i="1"/>
  <c r="N32" i="1"/>
  <c r="N40" i="1" s="1"/>
  <c r="I50" i="1"/>
  <c r="I49" i="1"/>
  <c r="N30" i="1"/>
  <c r="N39" i="1" s="1"/>
  <c r="N35" i="1" l="1"/>
  <c r="P43" i="1" s="1"/>
  <c r="P44" i="1" s="1"/>
  <c r="I51" i="1"/>
  <c r="G49" i="1" l="1"/>
  <c r="G48" i="1"/>
  <c r="G47" i="1"/>
  <c r="G50" i="1"/>
  <c r="G51" i="1" l="1"/>
</calcChain>
</file>

<file path=xl/sharedStrings.xml><?xml version="1.0" encoding="utf-8"?>
<sst xmlns="http://schemas.openxmlformats.org/spreadsheetml/2006/main" count="197" uniqueCount="103">
  <si>
    <t>Winery Name:</t>
  </si>
  <si>
    <t>Contact Name &amp; Email:</t>
  </si>
  <si>
    <t>Permit Number (If known):</t>
  </si>
  <si>
    <t>Information</t>
  </si>
  <si>
    <t>Value</t>
  </si>
  <si>
    <t>Red Wine Production (gal/yr)</t>
  </si>
  <si>
    <t>White Wine Production (gal/yr)</t>
  </si>
  <si>
    <t>Percent Wine Loss by Volume (gal/gal-wine)</t>
  </si>
  <si>
    <t>Permit Application</t>
  </si>
  <si>
    <t>MBARD Default/ Permit Application</t>
  </si>
  <si>
    <r>
      <t>Information</t>
    </r>
    <r>
      <rPr>
        <u/>
        <vertAlign val="superscript"/>
        <sz val="11"/>
        <color theme="1"/>
        <rFont val="Calibri"/>
        <family val="2"/>
        <scheme val="minor"/>
      </rPr>
      <t>1</t>
    </r>
  </si>
  <si>
    <t>Quarterly Wine Fermentation Inputs</t>
  </si>
  <si>
    <t>1st Quarter Red Wine Fermentation (gal)</t>
  </si>
  <si>
    <t>2nd Quarter Red Wine Fermentation (gal)</t>
  </si>
  <si>
    <t>3rd Quarter Red Wine Fermentation (gal)</t>
  </si>
  <si>
    <t>4th Quarter Red Wine Fermentation (gal)</t>
  </si>
  <si>
    <t>1st Quarter White Wine Fermentation (gal)</t>
  </si>
  <si>
    <t>2nd Quarter White Wine Fermentation (gal)</t>
  </si>
  <si>
    <t>3rd Quarter White Wine Fermentation (gal)</t>
  </si>
  <si>
    <t>4th Quarter White Wine Fermentation (gal)</t>
  </si>
  <si>
    <t>1st Quarter Red Wine Storage/Aging (barrels)</t>
  </si>
  <si>
    <t>2nd Quarter Red Wine Storage/Aging (barrels)</t>
  </si>
  <si>
    <t>3rd Quarter Red Wine Storage/Aging(barrels)</t>
  </si>
  <si>
    <t>4th Quarter Red Wine Storage/Aging (barrels)</t>
  </si>
  <si>
    <t>1st Quarter White Wine Storage/Aging (barrels)</t>
  </si>
  <si>
    <t>2nd Quarter White Wine Storage/Aging (barrels)</t>
  </si>
  <si>
    <t>3rd Quarter White Wine Storage/Aging (barrels)</t>
  </si>
  <si>
    <t>4th Quarter White Wine Storage/Aging (barrels)</t>
  </si>
  <si>
    <t>Emission Factors</t>
  </si>
  <si>
    <t>White Wine Aging/Storage</t>
  </si>
  <si>
    <t>Red Wine Fermentation (lb/1000 gal)</t>
  </si>
  <si>
    <t>Red Wine Aging/Storage (lb/1000 gal-yr)</t>
  </si>
  <si>
    <t>White Wine Fermentation (lb/1000 gal)</t>
  </si>
  <si>
    <t>White Wine Aging/Storage (lb/1000 gal-yr)</t>
  </si>
  <si>
    <t>CARB March 2005</t>
  </si>
  <si>
    <t>Calculated Value</t>
  </si>
  <si>
    <t>Wine Properties</t>
  </si>
  <si>
    <t>Barrel Conversion Factor (gal/yr)</t>
  </si>
  <si>
    <t>Standard</t>
  </si>
  <si>
    <t>Specific Gravity of Ethanol</t>
  </si>
  <si>
    <t>Density of Ethanol (lb/gal)</t>
  </si>
  <si>
    <t>Density of Water (lb/gal)</t>
  </si>
  <si>
    <t>Red Wine Ethanol Volume Percent (gal/gal-wine)</t>
  </si>
  <si>
    <t>White Wine Ethanol Volume Percent (gal/gal-wine)</t>
  </si>
  <si>
    <t>Red Wine Ethanol Weight Percent (lb/lb-wine)</t>
  </si>
  <si>
    <t>White Wine Ethanol Weight Perent (lb/lb-wine)</t>
  </si>
  <si>
    <t>Red Wine Density (lb/gal)</t>
  </si>
  <si>
    <t>White Wine Density (lb/gal)</t>
  </si>
  <si>
    <t>MSDS</t>
  </si>
  <si>
    <t>Reference</t>
  </si>
  <si>
    <t>lb/day</t>
  </si>
  <si>
    <t>tons/year</t>
  </si>
  <si>
    <t xml:space="preserve">White Wine Fermentation </t>
  </si>
  <si>
    <t xml:space="preserve">Red Wine Fermentation </t>
  </si>
  <si>
    <t xml:space="preserve">Red Wine Aging/Storage </t>
  </si>
  <si>
    <t>Total</t>
  </si>
  <si>
    <t>Red Wine Barrel Storage (barrel/yr)</t>
  </si>
  <si>
    <t>White Wine Barrel Storage (barrel/yr)</t>
  </si>
  <si>
    <r>
      <rPr>
        <b/>
        <vertAlign val="superscript"/>
        <sz val="11"/>
        <color theme="1"/>
        <rFont val="Calibri"/>
        <family val="2"/>
        <scheme val="minor"/>
      </rPr>
      <t>1.</t>
    </r>
    <r>
      <rPr>
        <b/>
        <sz val="11"/>
        <color theme="1"/>
        <rFont val="Calibri"/>
        <family val="2"/>
        <scheme val="minor"/>
      </rPr>
      <t xml:space="preserve">  Please input combined values for both tank and oak barrel ferementation</t>
    </r>
  </si>
  <si>
    <t>Process</t>
  </si>
  <si>
    <t>Daily VOC (lb/day)</t>
  </si>
  <si>
    <t>Fermentation Red</t>
  </si>
  <si>
    <t>Fermentation White</t>
  </si>
  <si>
    <t>Quarterly Fermentation Emissions</t>
  </si>
  <si>
    <t>Quarter Barrel Emissions</t>
  </si>
  <si>
    <t>White Storage</t>
  </si>
  <si>
    <t>Red Storage</t>
  </si>
  <si>
    <t>WINE FERMENTATION AND OAK BARREL AGING/STORAGE EMISSION CALCUATIONS</t>
  </si>
  <si>
    <t>ETHANOL EMISSIONS FROM WASTEWATER PONDS</t>
  </si>
  <si>
    <t>Wastewater Throughput (gal/yr)</t>
  </si>
  <si>
    <t>Wastewater Inputs</t>
  </si>
  <si>
    <t>Non-Crushing Season (days/yr)</t>
  </si>
  <si>
    <t>Crushing Season (days/yr)</t>
  </si>
  <si>
    <t>Ethanol Concentration - Crush (mg/L)</t>
  </si>
  <si>
    <t>Ethanol Concentration - Non-Crush (mg/L)</t>
  </si>
  <si>
    <t>Evaporation Loss Percentage                                                     (gal-ww evap/gal-ww processed)</t>
  </si>
  <si>
    <t>Ethanol Emissions From Wastewater Ponds</t>
  </si>
  <si>
    <t xml:space="preserve">Wastewater </t>
  </si>
  <si>
    <t>Wastewater Properties</t>
  </si>
  <si>
    <t>Ethanol-C/TOC</t>
  </si>
  <si>
    <t>Annual Average Ethanol Concentration (mg/L)</t>
  </si>
  <si>
    <t>Liter Conversion Factor (L/gal)</t>
  </si>
  <si>
    <t>Gram Conversion Factor (g/lb)</t>
  </si>
  <si>
    <t>Milligram Conversion Factor (mg/g)</t>
  </si>
  <si>
    <t>Annual Ethanol (lb-ethanol/ 1000 gal-yr)</t>
  </si>
  <si>
    <t>Daily Ethanol (lb-ethanol/gal)</t>
  </si>
  <si>
    <t>Annual Wine Inputs &amp; Properties</t>
  </si>
  <si>
    <t>Standard/ Permit Application</t>
  </si>
  <si>
    <r>
      <t>1</t>
    </r>
    <r>
      <rPr>
        <b/>
        <vertAlign val="superscript"/>
        <sz val="11"/>
        <color theme="1"/>
        <rFont val="Calibri"/>
        <family val="2"/>
        <scheme val="minor"/>
      </rPr>
      <t>st</t>
    </r>
    <r>
      <rPr>
        <b/>
        <sz val="11"/>
        <color theme="1"/>
        <rFont val="Calibri"/>
        <family val="2"/>
        <scheme val="minor"/>
      </rPr>
      <t xml:space="preserve"> Quarter</t>
    </r>
  </si>
  <si>
    <r>
      <t>2</t>
    </r>
    <r>
      <rPr>
        <b/>
        <vertAlign val="superscript"/>
        <sz val="11"/>
        <color theme="1"/>
        <rFont val="Calibri"/>
        <family val="2"/>
        <scheme val="minor"/>
      </rPr>
      <t>nd</t>
    </r>
    <r>
      <rPr>
        <b/>
        <sz val="11"/>
        <color theme="1"/>
        <rFont val="Calibri"/>
        <family val="2"/>
        <scheme val="minor"/>
      </rPr>
      <t xml:space="preserve"> Quarter</t>
    </r>
  </si>
  <si>
    <r>
      <t>3</t>
    </r>
    <r>
      <rPr>
        <b/>
        <vertAlign val="superscript"/>
        <sz val="11"/>
        <color theme="1"/>
        <rFont val="Calibri"/>
        <family val="2"/>
        <scheme val="minor"/>
      </rPr>
      <t>rd</t>
    </r>
    <r>
      <rPr>
        <b/>
        <sz val="11"/>
        <color theme="1"/>
        <rFont val="Calibri"/>
        <family val="2"/>
        <scheme val="minor"/>
      </rPr>
      <t xml:space="preserve"> Quarter</t>
    </r>
  </si>
  <si>
    <r>
      <t>4</t>
    </r>
    <r>
      <rPr>
        <b/>
        <vertAlign val="superscript"/>
        <sz val="11"/>
        <color theme="1"/>
        <rFont val="Calibri"/>
        <family val="2"/>
        <scheme val="minor"/>
      </rPr>
      <t>th</t>
    </r>
    <r>
      <rPr>
        <b/>
        <sz val="11"/>
        <color theme="1"/>
        <rFont val="Calibri"/>
        <family val="2"/>
        <scheme val="minor"/>
      </rPr>
      <t xml:space="preserve"> Quarter</t>
    </r>
  </si>
  <si>
    <t>Which Quarter Has The Maximum Emissions?</t>
  </si>
  <si>
    <t>Total Quarterly Maximum Emissions</t>
  </si>
  <si>
    <t>Total Quarterly Wine Fermentation &amp; Storage Emissions (lb/day)</t>
  </si>
  <si>
    <r>
      <t>Wine Fermentation &amp; Oak Barrel Aging/Storage VOC Potential To Emit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</t>
    </r>
  </si>
  <si>
    <t>Cabernet Sauvignon</t>
  </si>
  <si>
    <t>Mr. Wine</t>
  </si>
  <si>
    <r>
      <rPr>
        <b/>
        <vertAlign val="superscript"/>
        <sz val="11"/>
        <color theme="1"/>
        <rFont val="Calibri"/>
        <family val="2"/>
        <scheme val="minor"/>
      </rPr>
      <t>1.</t>
    </r>
    <r>
      <rPr>
        <b/>
        <sz val="11"/>
        <color theme="1"/>
        <rFont val="Calibri"/>
        <family val="2"/>
        <scheme val="minor"/>
      </rPr>
      <t xml:space="preserve">  PTE from fermentation and aging/storage reflects the emissions from the total highest emitting quarter.</t>
    </r>
  </si>
  <si>
    <t>MBARD Default/Permit Application</t>
  </si>
  <si>
    <t>GNR-0017XXX</t>
  </si>
  <si>
    <t>GNR-017XXX</t>
  </si>
  <si>
    <t>Quarterly Wine Storage/Aging Inputs (Units In # Of Physical Barrels Stored)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</si>
</sst>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00E+00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name val="Calibri"/>
      <family val="2"/>
      <scheme val="minor"/>
    </font>
    <font>
      <u/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 applyAlignment="1">
      <alignment horizontal="right"/>
    </xf>
    <xf numFmtId="3" fontId="3" fillId="0" borderId="0" xfId="0" applyNumberFormat="1" applyFont="1" applyBorder="1"/>
    <xf numFmtId="2" fontId="5" fillId="0" borderId="4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0" fillId="0" borderId="0" xfId="0" applyBorder="1" applyAlignment="1"/>
    <xf numFmtId="0" fontId="0" fillId="0" borderId="0" xfId="0" applyBorder="1"/>
    <xf numFmtId="0" fontId="8" fillId="0" borderId="0" xfId="0" applyFont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9" fillId="0" borderId="0" xfId="0" applyFont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/>
    </xf>
    <xf numFmtId="0" fontId="1" fillId="0" borderId="0" xfId="0" applyFont="1" applyBorder="1" applyAlignment="1"/>
    <xf numFmtId="0" fontId="2" fillId="0" borderId="0" xfId="0" applyFont="1" applyBorder="1" applyAlignment="1"/>
    <xf numFmtId="0" fontId="0" fillId="0" borderId="0" xfId="0" applyFont="1" applyBorder="1" applyAlignment="1"/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/>
    <xf numFmtId="0" fontId="5" fillId="0" borderId="0" xfId="0" applyFont="1" applyFill="1" applyBorder="1" applyAlignment="1"/>
    <xf numFmtId="0" fontId="0" fillId="0" borderId="14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3" fillId="0" borderId="0" xfId="0" applyFont="1" applyBorder="1" applyAlignment="1"/>
    <xf numFmtId="0" fontId="4" fillId="0" borderId="0" xfId="0" applyFont="1" applyBorder="1" applyAlignment="1">
      <alignment vertical="center"/>
    </xf>
    <xf numFmtId="3" fontId="3" fillId="0" borderId="0" xfId="0" applyNumberFormat="1" applyFont="1" applyFill="1" applyBorder="1"/>
    <xf numFmtId="0" fontId="3" fillId="0" borderId="0" xfId="0" applyFont="1" applyFill="1" applyBorder="1" applyAlignment="1"/>
    <xf numFmtId="0" fontId="0" fillId="0" borderId="0" xfId="0" applyFill="1" applyBorder="1"/>
    <xf numFmtId="0" fontId="4" fillId="0" borderId="0" xfId="0" applyFont="1" applyFill="1" applyBorder="1" applyAlignment="1">
      <alignment vertical="center"/>
    </xf>
    <xf numFmtId="4" fontId="0" fillId="0" borderId="0" xfId="0" applyNumberFormat="1" applyFont="1" applyFill="1" applyBorder="1" applyAlignment="1">
      <alignment horizontal="center" vertical="center"/>
    </xf>
    <xf numFmtId="10" fontId="0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/>
    <xf numFmtId="0" fontId="3" fillId="0" borderId="2" xfId="0" applyFont="1" applyFill="1" applyBorder="1" applyAlignment="1"/>
    <xf numFmtId="4" fontId="0" fillId="0" borderId="4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2" fontId="5" fillId="2" borderId="33" xfId="0" applyNumberFormat="1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 applyProtection="1">
      <alignment horizontal="center" vertical="center"/>
      <protection locked="0"/>
    </xf>
    <xf numFmtId="3" fontId="1" fillId="0" borderId="0" xfId="0" applyNumberFormat="1" applyFont="1" applyBorder="1" applyAlignment="1" applyProtection="1">
      <alignment horizontal="center" vertical="center"/>
      <protection locked="0"/>
    </xf>
    <xf numFmtId="3" fontId="1" fillId="0" borderId="4" xfId="0" applyNumberFormat="1" applyFont="1" applyBorder="1" applyAlignment="1" applyProtection="1">
      <alignment horizontal="center" vertical="center"/>
      <protection locked="0"/>
    </xf>
    <xf numFmtId="10" fontId="1" fillId="0" borderId="4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9" fontId="1" fillId="0" borderId="4" xfId="0" applyNumberFormat="1" applyFont="1" applyBorder="1" applyAlignment="1" applyProtection="1">
      <alignment horizontal="center" vertical="center"/>
      <protection locked="0"/>
    </xf>
    <xf numFmtId="9" fontId="1" fillId="0" borderId="0" xfId="0" applyNumberFormat="1" applyFont="1" applyBorder="1" applyAlignment="1" applyProtection="1">
      <alignment horizontal="center" vertical="center"/>
      <protection locked="0"/>
    </xf>
    <xf numFmtId="4" fontId="5" fillId="0" borderId="0" xfId="0" applyNumberFormat="1" applyFont="1" applyBorder="1" applyAlignment="1">
      <alignment horizontal="center" vertical="center"/>
    </xf>
    <xf numFmtId="1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5" fillId="0" borderId="0" xfId="0" applyFont="1"/>
    <xf numFmtId="0" fontId="2" fillId="0" borderId="14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22" xfId="0" applyFont="1" applyFill="1" applyBorder="1" applyAlignment="1">
      <alignment horizontal="center"/>
    </xf>
    <xf numFmtId="0" fontId="0" fillId="2" borderId="19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2" fontId="5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" fontId="3" fillId="0" borderId="24" xfId="0" applyNumberFormat="1" applyFont="1" applyBorder="1" applyAlignment="1">
      <alignment horizontal="center"/>
    </xf>
    <xf numFmtId="4" fontId="5" fillId="0" borderId="0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W70"/>
  <sheetViews>
    <sheetView tabSelected="1" topLeftCell="B10" zoomScale="150" zoomScaleNormal="150" workbookViewId="0">
      <selection activeCell="B19" sqref="B19:K19"/>
    </sheetView>
  </sheetViews>
  <sheetFormatPr defaultRowHeight="15" x14ac:dyDescent="0.25"/>
  <cols>
    <col min="7" max="7" width="9.140625" style="15"/>
    <col min="13" max="13" width="19.42578125" customWidth="1"/>
    <col min="14" max="14" width="10.140625" customWidth="1"/>
    <col min="15" max="15" width="11.140625" customWidth="1"/>
    <col min="16" max="16" width="11.28515625" customWidth="1"/>
    <col min="17" max="17" width="11.7109375" customWidth="1"/>
    <col min="18" max="22" width="9.140625" customWidth="1"/>
  </cols>
  <sheetData>
    <row r="1" spans="2:22" ht="18.75" x14ac:dyDescent="0.25">
      <c r="F1" s="10" t="s">
        <v>67</v>
      </c>
      <c r="P1" s="10" t="s">
        <v>67</v>
      </c>
    </row>
    <row r="3" spans="2:22" x14ac:dyDescent="0.25">
      <c r="C3" s="1" t="s">
        <v>0</v>
      </c>
      <c r="D3" s="60" t="s">
        <v>96</v>
      </c>
      <c r="M3" s="1" t="s">
        <v>0</v>
      </c>
      <c r="N3" t="str">
        <f>D3</f>
        <v>Cabernet Sauvignon</v>
      </c>
    </row>
    <row r="4" spans="2:22" x14ac:dyDescent="0.25">
      <c r="C4" s="1" t="s">
        <v>1</v>
      </c>
      <c r="D4" s="60" t="s">
        <v>97</v>
      </c>
      <c r="M4" s="1" t="s">
        <v>1</v>
      </c>
      <c r="N4" t="str">
        <f>D4</f>
        <v>Mr. Wine</v>
      </c>
    </row>
    <row r="5" spans="2:22" x14ac:dyDescent="0.25">
      <c r="C5" s="1" t="s">
        <v>2</v>
      </c>
      <c r="D5" s="60" t="s">
        <v>100</v>
      </c>
      <c r="M5" s="1" t="s">
        <v>2</v>
      </c>
      <c r="N5" t="str">
        <f>D5</f>
        <v>GNR-0017XXX</v>
      </c>
    </row>
    <row r="6" spans="2:22" ht="15.75" thickBot="1" x14ac:dyDescent="0.3">
      <c r="C6" s="1"/>
    </row>
    <row r="7" spans="2:22" ht="15.75" thickBot="1" x14ac:dyDescent="0.3">
      <c r="B7" s="70" t="s">
        <v>11</v>
      </c>
      <c r="C7" s="71"/>
      <c r="D7" s="71"/>
      <c r="E7" s="71"/>
      <c r="F7" s="71"/>
      <c r="G7" s="71"/>
      <c r="H7" s="71"/>
      <c r="I7" s="71"/>
      <c r="J7" s="71"/>
      <c r="K7" s="72"/>
      <c r="M7" s="127" t="s">
        <v>36</v>
      </c>
      <c r="N7" s="128"/>
      <c r="O7" s="128"/>
      <c r="P7" s="128"/>
      <c r="Q7" s="128"/>
      <c r="R7" s="128"/>
      <c r="S7" s="128"/>
      <c r="T7" s="128"/>
      <c r="U7" s="129"/>
      <c r="V7" s="21"/>
    </row>
    <row r="8" spans="2:22" ht="18" thickTop="1" x14ac:dyDescent="0.25">
      <c r="B8" s="73" t="s">
        <v>10</v>
      </c>
      <c r="C8" s="74"/>
      <c r="D8" s="74"/>
      <c r="E8" s="74"/>
      <c r="F8" s="74"/>
      <c r="G8" s="14" t="s">
        <v>4</v>
      </c>
      <c r="H8" s="75" t="s">
        <v>49</v>
      </c>
      <c r="I8" s="75"/>
      <c r="J8" s="75"/>
      <c r="K8" s="76"/>
      <c r="M8" s="87" t="s">
        <v>3</v>
      </c>
      <c r="N8" s="88"/>
      <c r="O8" s="88"/>
      <c r="P8" s="88"/>
      <c r="Q8" s="33" t="s">
        <v>4</v>
      </c>
      <c r="R8" s="34" t="s">
        <v>49</v>
      </c>
      <c r="S8" s="35"/>
      <c r="T8" s="34"/>
      <c r="U8" s="41"/>
      <c r="V8" s="34"/>
    </row>
    <row r="9" spans="2:22" x14ac:dyDescent="0.25">
      <c r="B9" s="83" t="s">
        <v>12</v>
      </c>
      <c r="C9" s="84"/>
      <c r="D9" s="84"/>
      <c r="E9" s="84"/>
      <c r="F9" s="84"/>
      <c r="G9" s="51">
        <v>0</v>
      </c>
      <c r="H9" s="79" t="s">
        <v>8</v>
      </c>
      <c r="I9" s="79"/>
      <c r="J9" s="79"/>
      <c r="K9" s="80"/>
      <c r="M9" s="112" t="s">
        <v>37</v>
      </c>
      <c r="N9" s="113"/>
      <c r="O9" s="113"/>
      <c r="P9" s="113"/>
      <c r="Q9" s="50">
        <v>59</v>
      </c>
      <c r="R9" s="123" t="s">
        <v>87</v>
      </c>
      <c r="S9" s="123"/>
      <c r="T9" s="123"/>
      <c r="U9" s="124"/>
      <c r="V9" s="36"/>
    </row>
    <row r="10" spans="2:22" x14ac:dyDescent="0.25">
      <c r="B10" s="83" t="s">
        <v>13</v>
      </c>
      <c r="C10" s="84"/>
      <c r="D10" s="84"/>
      <c r="E10" s="84"/>
      <c r="F10" s="84"/>
      <c r="G10" s="51">
        <v>0</v>
      </c>
      <c r="H10" s="79" t="s">
        <v>8</v>
      </c>
      <c r="I10" s="79"/>
      <c r="J10" s="79"/>
      <c r="K10" s="80"/>
      <c r="M10" s="112" t="s">
        <v>39</v>
      </c>
      <c r="N10" s="113"/>
      <c r="O10" s="113"/>
      <c r="P10" s="113"/>
      <c r="Q10" s="37">
        <v>0.79</v>
      </c>
      <c r="R10" s="123" t="s">
        <v>48</v>
      </c>
      <c r="S10" s="123"/>
      <c r="T10" s="123"/>
      <c r="U10" s="124"/>
      <c r="V10" s="36"/>
    </row>
    <row r="11" spans="2:22" x14ac:dyDescent="0.25">
      <c r="B11" s="83" t="s">
        <v>14</v>
      </c>
      <c r="C11" s="84"/>
      <c r="D11" s="84"/>
      <c r="E11" s="84"/>
      <c r="F11" s="84"/>
      <c r="G11" s="51">
        <v>3000000</v>
      </c>
      <c r="H11" s="79" t="s">
        <v>8</v>
      </c>
      <c r="I11" s="79"/>
      <c r="J11" s="79"/>
      <c r="K11" s="80"/>
      <c r="M11" s="114" t="s">
        <v>41</v>
      </c>
      <c r="N11" s="115"/>
      <c r="O11" s="115"/>
      <c r="P11" s="115"/>
      <c r="Q11" s="37">
        <v>8.34</v>
      </c>
      <c r="R11" s="123" t="s">
        <v>38</v>
      </c>
      <c r="S11" s="123"/>
      <c r="T11" s="123"/>
      <c r="U11" s="124"/>
      <c r="V11" s="36"/>
    </row>
    <row r="12" spans="2:22" x14ac:dyDescent="0.25">
      <c r="B12" s="83" t="s">
        <v>15</v>
      </c>
      <c r="C12" s="84"/>
      <c r="D12" s="84"/>
      <c r="E12" s="84"/>
      <c r="F12" s="84"/>
      <c r="G12" s="51">
        <v>1000000</v>
      </c>
      <c r="H12" s="79" t="s">
        <v>8</v>
      </c>
      <c r="I12" s="79"/>
      <c r="J12" s="79"/>
      <c r="K12" s="80"/>
      <c r="M12" s="112" t="s">
        <v>40</v>
      </c>
      <c r="N12" s="113"/>
      <c r="O12" s="113"/>
      <c r="P12" s="113"/>
      <c r="Q12" s="37">
        <f>(Q10*Q11)</f>
        <v>6.5886000000000005</v>
      </c>
      <c r="R12" s="123" t="s">
        <v>35</v>
      </c>
      <c r="S12" s="123"/>
      <c r="T12" s="123"/>
      <c r="U12" s="124"/>
      <c r="V12" s="36"/>
    </row>
    <row r="13" spans="2:22" ht="15" customHeight="1" x14ac:dyDescent="0.25">
      <c r="B13" s="83" t="s">
        <v>16</v>
      </c>
      <c r="C13" s="84"/>
      <c r="D13" s="84"/>
      <c r="E13" s="84"/>
      <c r="F13" s="84"/>
      <c r="G13" s="51">
        <v>0</v>
      </c>
      <c r="H13" s="79" t="s">
        <v>8</v>
      </c>
      <c r="I13" s="79"/>
      <c r="J13" s="79"/>
      <c r="K13" s="80"/>
      <c r="M13" s="112" t="s">
        <v>42</v>
      </c>
      <c r="N13" s="113"/>
      <c r="O13" s="113"/>
      <c r="P13" s="113"/>
      <c r="Q13" s="59">
        <v>0.14000000000000001</v>
      </c>
      <c r="R13" s="121" t="s">
        <v>99</v>
      </c>
      <c r="S13" s="121"/>
      <c r="T13" s="121"/>
      <c r="U13" s="122"/>
      <c r="V13" s="36"/>
    </row>
    <row r="14" spans="2:22" ht="15" customHeight="1" x14ac:dyDescent="0.25">
      <c r="B14" s="83" t="s">
        <v>17</v>
      </c>
      <c r="C14" s="84"/>
      <c r="D14" s="84"/>
      <c r="E14" s="84"/>
      <c r="F14" s="84"/>
      <c r="G14" s="51">
        <v>0</v>
      </c>
      <c r="H14" s="79" t="s">
        <v>8</v>
      </c>
      <c r="I14" s="79"/>
      <c r="J14" s="79"/>
      <c r="K14" s="80"/>
      <c r="M14" s="112" t="s">
        <v>43</v>
      </c>
      <c r="N14" s="113"/>
      <c r="O14" s="113"/>
      <c r="P14" s="113"/>
      <c r="Q14" s="59">
        <v>0.13</v>
      </c>
      <c r="R14" s="121" t="s">
        <v>99</v>
      </c>
      <c r="S14" s="121"/>
      <c r="T14" s="121"/>
      <c r="U14" s="122"/>
      <c r="V14" s="36"/>
    </row>
    <row r="15" spans="2:22" x14ac:dyDescent="0.25">
      <c r="B15" s="83" t="s">
        <v>18</v>
      </c>
      <c r="C15" s="84"/>
      <c r="D15" s="84"/>
      <c r="E15" s="84"/>
      <c r="F15" s="84"/>
      <c r="G15" s="51">
        <v>1000000</v>
      </c>
      <c r="H15" s="79" t="s">
        <v>8</v>
      </c>
      <c r="I15" s="79"/>
      <c r="J15" s="79"/>
      <c r="K15" s="80"/>
      <c r="M15" s="112" t="s">
        <v>44</v>
      </c>
      <c r="N15" s="113"/>
      <c r="O15" s="113"/>
      <c r="P15" s="113"/>
      <c r="Q15" s="38">
        <f>(Q13*$Q$12)/((Q13*$Q$12)+(1-Q13)*$Q$11)</f>
        <v>0.11395013393777047</v>
      </c>
      <c r="R15" s="123" t="s">
        <v>35</v>
      </c>
      <c r="S15" s="123"/>
      <c r="T15" s="123"/>
      <c r="U15" s="124"/>
      <c r="V15" s="36"/>
    </row>
    <row r="16" spans="2:22" ht="15.75" thickBot="1" x14ac:dyDescent="0.3">
      <c r="B16" s="85" t="s">
        <v>19</v>
      </c>
      <c r="C16" s="86"/>
      <c r="D16" s="86"/>
      <c r="E16" s="86"/>
      <c r="F16" s="86"/>
      <c r="G16" s="52">
        <v>1500000</v>
      </c>
      <c r="H16" s="77" t="s">
        <v>8</v>
      </c>
      <c r="I16" s="77"/>
      <c r="J16" s="77"/>
      <c r="K16" s="78"/>
      <c r="M16" s="112" t="s">
        <v>45</v>
      </c>
      <c r="N16" s="113"/>
      <c r="O16" s="113"/>
      <c r="P16" s="113"/>
      <c r="Q16" s="38">
        <f>((Q14*$Q$12)/((Q14*$Q$12)+(1-Q14)*$Q$11))</f>
        <v>0.10558239950652823</v>
      </c>
      <c r="R16" s="123" t="s">
        <v>35</v>
      </c>
      <c r="S16" s="123"/>
      <c r="T16" s="123"/>
      <c r="U16" s="124"/>
      <c r="V16" s="36"/>
    </row>
    <row r="17" spans="2:22" ht="17.25" x14ac:dyDescent="0.25">
      <c r="B17" s="7" t="s">
        <v>58</v>
      </c>
      <c r="M17" s="112" t="s">
        <v>46</v>
      </c>
      <c r="N17" s="113"/>
      <c r="O17" s="113"/>
      <c r="P17" s="113"/>
      <c r="Q17" s="37">
        <f>(Q12*Q15)+(Q11*(1-Q15))</f>
        <v>8.1404277354213885</v>
      </c>
      <c r="R17" s="123" t="s">
        <v>35</v>
      </c>
      <c r="S17" s="123"/>
      <c r="T17" s="123"/>
      <c r="U17" s="124"/>
      <c r="V17" s="36"/>
    </row>
    <row r="18" spans="2:22" ht="15.75" thickBot="1" x14ac:dyDescent="0.3">
      <c r="C18" s="1"/>
      <c r="M18" s="116" t="s">
        <v>47</v>
      </c>
      <c r="N18" s="117"/>
      <c r="O18" s="117"/>
      <c r="P18" s="117"/>
      <c r="Q18" s="42">
        <f>(Q12*Q16)+(Q11*(1-Q16))</f>
        <v>8.1550829855042668</v>
      </c>
      <c r="R18" s="125" t="s">
        <v>35</v>
      </c>
      <c r="S18" s="125"/>
      <c r="T18" s="125"/>
      <c r="U18" s="126"/>
      <c r="V18" s="36"/>
    </row>
    <row r="19" spans="2:22" ht="15.75" thickBot="1" x14ac:dyDescent="0.3">
      <c r="B19" s="70" t="s">
        <v>102</v>
      </c>
      <c r="C19" s="71"/>
      <c r="D19" s="71"/>
      <c r="E19" s="71"/>
      <c r="F19" s="71"/>
      <c r="G19" s="71"/>
      <c r="H19" s="71"/>
      <c r="I19" s="71"/>
      <c r="J19" s="71"/>
      <c r="K19" s="72"/>
      <c r="M19" s="35"/>
      <c r="N19" s="35"/>
      <c r="O19" s="35"/>
      <c r="P19" s="35"/>
      <c r="Q19" s="35"/>
      <c r="R19" s="35"/>
      <c r="S19" s="35"/>
      <c r="T19" s="35"/>
      <c r="U19" s="35"/>
      <c r="V19" s="35"/>
    </row>
    <row r="20" spans="2:22" ht="15.75" thickTop="1" x14ac:dyDescent="0.25">
      <c r="B20" s="73" t="s">
        <v>3</v>
      </c>
      <c r="C20" s="74"/>
      <c r="D20" s="74"/>
      <c r="E20" s="74"/>
      <c r="F20" s="74"/>
      <c r="G20" s="14" t="s">
        <v>4</v>
      </c>
      <c r="H20" s="75" t="s">
        <v>49</v>
      </c>
      <c r="I20" s="75"/>
      <c r="J20" s="75"/>
      <c r="K20" s="76"/>
      <c r="M20" s="118" t="s">
        <v>63</v>
      </c>
      <c r="N20" s="119"/>
      <c r="O20" s="119"/>
      <c r="P20" s="119"/>
      <c r="Q20" s="119"/>
      <c r="R20" s="119"/>
      <c r="S20" s="119"/>
      <c r="T20" s="119"/>
      <c r="U20" s="120"/>
      <c r="V20" s="39"/>
    </row>
    <row r="21" spans="2:22" ht="17.25" x14ac:dyDescent="0.25">
      <c r="B21" s="83" t="s">
        <v>20</v>
      </c>
      <c r="C21" s="84"/>
      <c r="D21" s="84"/>
      <c r="E21" s="84"/>
      <c r="F21" s="84"/>
      <c r="G21" s="51">
        <v>5000</v>
      </c>
      <c r="H21" s="79" t="s">
        <v>8</v>
      </c>
      <c r="I21" s="79"/>
      <c r="J21" s="79"/>
      <c r="K21" s="80"/>
      <c r="M21" s="43" t="s">
        <v>59</v>
      </c>
      <c r="N21" s="62" t="s">
        <v>88</v>
      </c>
      <c r="O21" s="62"/>
      <c r="P21" s="62" t="s">
        <v>89</v>
      </c>
      <c r="Q21" s="62"/>
      <c r="R21" s="62" t="s">
        <v>90</v>
      </c>
      <c r="S21" s="62"/>
      <c r="T21" s="62" t="s">
        <v>91</v>
      </c>
      <c r="U21" s="65"/>
      <c r="V21" s="21"/>
    </row>
    <row r="22" spans="2:22" x14ac:dyDescent="0.25">
      <c r="B22" s="83" t="s">
        <v>21</v>
      </c>
      <c r="C22" s="84"/>
      <c r="D22" s="84"/>
      <c r="E22" s="84"/>
      <c r="F22" s="84"/>
      <c r="G22" s="51">
        <v>5000</v>
      </c>
      <c r="H22" s="79" t="s">
        <v>8</v>
      </c>
      <c r="I22" s="79"/>
      <c r="J22" s="79"/>
      <c r="K22" s="80"/>
      <c r="M22" s="44" t="s">
        <v>61</v>
      </c>
      <c r="N22" s="63">
        <f>ROUND(G9*($G$40/1000),2)</f>
        <v>0</v>
      </c>
      <c r="O22" s="63"/>
      <c r="P22" s="63">
        <f>ROUND(G10*($G$40/1000),2)</f>
        <v>0</v>
      </c>
      <c r="Q22" s="63"/>
      <c r="R22" s="63">
        <f>ROUND(G11*($G$40/1000),2)</f>
        <v>18600</v>
      </c>
      <c r="S22" s="63"/>
      <c r="T22" s="63">
        <f>ROUND(G12*($G$40/1000),2)</f>
        <v>6200</v>
      </c>
      <c r="U22" s="64"/>
      <c r="V22" s="40"/>
    </row>
    <row r="23" spans="2:22" x14ac:dyDescent="0.25">
      <c r="B23" s="83" t="s">
        <v>22</v>
      </c>
      <c r="C23" s="84"/>
      <c r="D23" s="84"/>
      <c r="E23" s="84"/>
      <c r="F23" s="84"/>
      <c r="G23" s="51">
        <v>5000</v>
      </c>
      <c r="H23" s="79" t="s">
        <v>8</v>
      </c>
      <c r="I23" s="79"/>
      <c r="J23" s="79"/>
      <c r="K23" s="80"/>
      <c r="M23" s="44" t="s">
        <v>60</v>
      </c>
      <c r="N23" s="67">
        <f>ROUND(N22/90,2)</f>
        <v>0</v>
      </c>
      <c r="O23" s="67"/>
      <c r="P23" s="67">
        <f>ROUND(P22/91,2)</f>
        <v>0</v>
      </c>
      <c r="Q23" s="67"/>
      <c r="R23" s="67">
        <f>ROUND(R22/92,2)</f>
        <v>202.17</v>
      </c>
      <c r="S23" s="67"/>
      <c r="T23" s="67">
        <f>ROUND(T22/92,2)</f>
        <v>67.39</v>
      </c>
      <c r="U23" s="69"/>
      <c r="V23" s="40"/>
    </row>
    <row r="24" spans="2:22" x14ac:dyDescent="0.25">
      <c r="B24" s="83" t="s">
        <v>23</v>
      </c>
      <c r="C24" s="84"/>
      <c r="D24" s="84"/>
      <c r="E24" s="84"/>
      <c r="F24" s="84"/>
      <c r="G24" s="51">
        <v>5000</v>
      </c>
      <c r="H24" s="79" t="s">
        <v>8</v>
      </c>
      <c r="I24" s="79"/>
      <c r="J24" s="79"/>
      <c r="K24" s="80"/>
      <c r="M24" s="44" t="s">
        <v>62</v>
      </c>
      <c r="N24" s="63">
        <f>ROUND(G13*($G$42/1000),2)</f>
        <v>0</v>
      </c>
      <c r="O24" s="63"/>
      <c r="P24" s="63">
        <f>ROUND(G14*($G$42/1000),2)</f>
        <v>0</v>
      </c>
      <c r="Q24" s="63"/>
      <c r="R24" s="63">
        <f>ROUND(G15*($G$42/1000),2)</f>
        <v>2500</v>
      </c>
      <c r="S24" s="63"/>
      <c r="T24" s="63">
        <f>ROUND(G16*($G$42/1000),2)</f>
        <v>3750</v>
      </c>
      <c r="U24" s="64"/>
      <c r="V24" s="40"/>
    </row>
    <row r="25" spans="2:22" ht="15.75" thickBot="1" x14ac:dyDescent="0.3">
      <c r="B25" s="83" t="s">
        <v>24</v>
      </c>
      <c r="C25" s="84"/>
      <c r="D25" s="84"/>
      <c r="E25" s="84"/>
      <c r="F25" s="84"/>
      <c r="G25" s="51">
        <v>1000</v>
      </c>
      <c r="H25" s="79" t="s">
        <v>8</v>
      </c>
      <c r="I25" s="79"/>
      <c r="J25" s="79"/>
      <c r="K25" s="80"/>
      <c r="M25" s="45" t="s">
        <v>60</v>
      </c>
      <c r="N25" s="66">
        <f>ROUND(N24/90,2)</f>
        <v>0</v>
      </c>
      <c r="O25" s="66"/>
      <c r="P25" s="66">
        <f>ROUND(P24/91,2)</f>
        <v>0</v>
      </c>
      <c r="Q25" s="66"/>
      <c r="R25" s="66">
        <f>ROUND(R24/92,2)</f>
        <v>27.17</v>
      </c>
      <c r="S25" s="66"/>
      <c r="T25" s="66">
        <f>ROUND(T24/92,2)</f>
        <v>40.76</v>
      </c>
      <c r="U25" s="68"/>
      <c r="V25" s="40"/>
    </row>
    <row r="26" spans="2:22" ht="15.75" thickBot="1" x14ac:dyDescent="0.3">
      <c r="B26" s="83" t="s">
        <v>25</v>
      </c>
      <c r="C26" s="84"/>
      <c r="D26" s="84"/>
      <c r="E26" s="84"/>
      <c r="F26" s="84"/>
      <c r="G26" s="51">
        <v>1000</v>
      </c>
      <c r="H26" s="79" t="s">
        <v>8</v>
      </c>
      <c r="I26" s="79"/>
      <c r="J26" s="79"/>
      <c r="K26" s="80"/>
      <c r="M26" s="35"/>
      <c r="N26" s="35"/>
      <c r="O26" s="35"/>
      <c r="P26" s="35"/>
      <c r="Q26" s="35"/>
      <c r="R26" s="35"/>
      <c r="S26" s="35"/>
      <c r="T26" s="35"/>
      <c r="U26" s="35"/>
      <c r="V26" s="35"/>
    </row>
    <row r="27" spans="2:22" x14ac:dyDescent="0.25">
      <c r="B27" s="83" t="s">
        <v>26</v>
      </c>
      <c r="C27" s="84"/>
      <c r="D27" s="84"/>
      <c r="E27" s="84"/>
      <c r="F27" s="84"/>
      <c r="G27" s="51">
        <v>1000</v>
      </c>
      <c r="H27" s="79" t="s">
        <v>8</v>
      </c>
      <c r="I27" s="79"/>
      <c r="J27" s="79"/>
      <c r="K27" s="80"/>
      <c r="M27" s="118" t="s">
        <v>64</v>
      </c>
      <c r="N27" s="119"/>
      <c r="O27" s="119"/>
      <c r="P27" s="119"/>
      <c r="Q27" s="119"/>
      <c r="R27" s="119"/>
      <c r="S27" s="119"/>
      <c r="T27" s="119"/>
      <c r="U27" s="120"/>
      <c r="V27" s="39"/>
    </row>
    <row r="28" spans="2:22" ht="18" thickBot="1" x14ac:dyDescent="0.3">
      <c r="B28" s="85" t="s">
        <v>27</v>
      </c>
      <c r="C28" s="86"/>
      <c r="D28" s="86"/>
      <c r="E28" s="86"/>
      <c r="F28" s="86"/>
      <c r="G28" s="52">
        <v>1000</v>
      </c>
      <c r="H28" s="77" t="s">
        <v>8</v>
      </c>
      <c r="I28" s="77"/>
      <c r="J28" s="77"/>
      <c r="K28" s="78"/>
      <c r="M28" s="43" t="s">
        <v>59</v>
      </c>
      <c r="N28" s="62" t="s">
        <v>88</v>
      </c>
      <c r="O28" s="62"/>
      <c r="P28" s="62" t="s">
        <v>89</v>
      </c>
      <c r="Q28" s="62"/>
      <c r="R28" s="62" t="s">
        <v>90</v>
      </c>
      <c r="S28" s="62"/>
      <c r="T28" s="62" t="s">
        <v>91</v>
      </c>
      <c r="U28" s="65"/>
      <c r="V28" s="21"/>
    </row>
    <row r="29" spans="2:22" ht="15.75" thickBot="1" x14ac:dyDescent="0.3">
      <c r="C29" s="1"/>
      <c r="M29" s="44" t="s">
        <v>66</v>
      </c>
      <c r="N29" s="63">
        <f>ROUND(G21*59*($G$41/1000)*(1/365)*90,2)</f>
        <v>2024.21</v>
      </c>
      <c r="O29" s="63"/>
      <c r="P29" s="63">
        <f>ROUND(G22*59*($G$41/1000)*(1/365)*91,2)</f>
        <v>2046.7</v>
      </c>
      <c r="Q29" s="63"/>
      <c r="R29" s="63">
        <f>ROUND(G23*59*($G$41/1000)*(1/365)*92,2)</f>
        <v>2069.19</v>
      </c>
      <c r="S29" s="63"/>
      <c r="T29" s="63">
        <f>ROUND(G24*59*($G$41/1000)*(1/365)*92,2)</f>
        <v>2069.19</v>
      </c>
      <c r="U29" s="64"/>
      <c r="V29" s="40"/>
    </row>
    <row r="30" spans="2:22" ht="15.75" thickBot="1" x14ac:dyDescent="0.3">
      <c r="B30" s="70" t="s">
        <v>86</v>
      </c>
      <c r="C30" s="71"/>
      <c r="D30" s="71"/>
      <c r="E30" s="71"/>
      <c r="F30" s="71"/>
      <c r="G30" s="71"/>
      <c r="H30" s="71"/>
      <c r="I30" s="71"/>
      <c r="J30" s="71"/>
      <c r="K30" s="72"/>
      <c r="M30" s="44" t="s">
        <v>60</v>
      </c>
      <c r="N30" s="67">
        <f>ROUND(N29/90,2)</f>
        <v>22.49</v>
      </c>
      <c r="O30" s="67"/>
      <c r="P30" s="67">
        <f>ROUND(P29/91,2)</f>
        <v>22.49</v>
      </c>
      <c r="Q30" s="67"/>
      <c r="R30" s="67">
        <f>ROUND(R29/92,2)</f>
        <v>22.49</v>
      </c>
      <c r="S30" s="67"/>
      <c r="T30" s="67">
        <f>ROUND(T29/92,2)</f>
        <v>22.49</v>
      </c>
      <c r="U30" s="69"/>
      <c r="V30" s="40"/>
    </row>
    <row r="31" spans="2:22" ht="15.75" thickTop="1" x14ac:dyDescent="0.25">
      <c r="B31" s="73" t="s">
        <v>3</v>
      </c>
      <c r="C31" s="74"/>
      <c r="D31" s="74"/>
      <c r="E31" s="74"/>
      <c r="F31" s="74"/>
      <c r="G31" s="14" t="s">
        <v>4</v>
      </c>
      <c r="H31" s="75" t="s">
        <v>49</v>
      </c>
      <c r="I31" s="75"/>
      <c r="J31" s="75"/>
      <c r="K31" s="76"/>
      <c r="M31" s="44" t="s">
        <v>65</v>
      </c>
      <c r="N31" s="63">
        <f>ROUND(G25*59*($G$43/1000)*(1/365)*90,2)</f>
        <v>375.79</v>
      </c>
      <c r="O31" s="63"/>
      <c r="P31" s="63">
        <f>ROUND(G26*59*($G$43/1000)*(1/365)*91,2)</f>
        <v>379.96</v>
      </c>
      <c r="Q31" s="63"/>
      <c r="R31" s="63">
        <f>ROUND(G27*59*($G$43/1000)*(1/365)*92,2)</f>
        <v>384.14</v>
      </c>
      <c r="S31" s="63"/>
      <c r="T31" s="63">
        <f>ROUND(G28*59*($G$43/1000)*(1/365)*92,2)</f>
        <v>384.14</v>
      </c>
      <c r="U31" s="64"/>
      <c r="V31" s="40"/>
    </row>
    <row r="32" spans="2:22" ht="15.75" thickBot="1" x14ac:dyDescent="0.3">
      <c r="B32" s="83" t="s">
        <v>5</v>
      </c>
      <c r="C32" s="84"/>
      <c r="D32" s="84"/>
      <c r="E32" s="84"/>
      <c r="F32" s="84"/>
      <c r="G32" s="6">
        <f>SUM(G9:G12)</f>
        <v>4000000</v>
      </c>
      <c r="H32" s="79" t="s">
        <v>35</v>
      </c>
      <c r="I32" s="79"/>
      <c r="J32" s="79"/>
      <c r="K32" s="80"/>
      <c r="M32" s="45" t="s">
        <v>60</v>
      </c>
      <c r="N32" s="66">
        <f>ROUND(N31/90,2)</f>
        <v>4.18</v>
      </c>
      <c r="O32" s="66"/>
      <c r="P32" s="66">
        <f>ROUND(P31/91,2)</f>
        <v>4.18</v>
      </c>
      <c r="Q32" s="66"/>
      <c r="R32" s="66">
        <f>ROUND(R31/92,2)</f>
        <v>4.18</v>
      </c>
      <c r="S32" s="66"/>
      <c r="T32" s="66">
        <f>ROUND(T31/92,2)</f>
        <v>4.18</v>
      </c>
      <c r="U32" s="68"/>
      <c r="V32" s="40"/>
    </row>
    <row r="33" spans="2:22" ht="15.75" thickBot="1" x14ac:dyDescent="0.3">
      <c r="B33" s="83" t="s">
        <v>6</v>
      </c>
      <c r="C33" s="84"/>
      <c r="D33" s="84"/>
      <c r="E33" s="84"/>
      <c r="F33" s="84"/>
      <c r="G33" s="6">
        <f>SUM(G13:G16)</f>
        <v>2500000</v>
      </c>
      <c r="H33" s="79" t="s">
        <v>35</v>
      </c>
      <c r="I33" s="79"/>
      <c r="J33" s="79"/>
      <c r="K33" s="80"/>
    </row>
    <row r="34" spans="2:22" x14ac:dyDescent="0.25">
      <c r="B34" s="83" t="s">
        <v>56</v>
      </c>
      <c r="C34" s="84"/>
      <c r="D34" s="84"/>
      <c r="E34" s="84"/>
      <c r="F34" s="84"/>
      <c r="G34" s="51">
        <v>5000</v>
      </c>
      <c r="H34" s="79" t="s">
        <v>8</v>
      </c>
      <c r="I34" s="79"/>
      <c r="J34" s="79"/>
      <c r="K34" s="80"/>
      <c r="M34" s="109" t="s">
        <v>94</v>
      </c>
      <c r="N34" s="110"/>
      <c r="O34" s="110"/>
      <c r="P34" s="110"/>
      <c r="Q34" s="111"/>
      <c r="R34" s="20"/>
      <c r="S34" s="20"/>
      <c r="T34" s="20"/>
      <c r="U34" s="20"/>
      <c r="V34" s="20"/>
    </row>
    <row r="35" spans="2:22" ht="15.75" thickBot="1" x14ac:dyDescent="0.3">
      <c r="B35" s="83" t="s">
        <v>57</v>
      </c>
      <c r="C35" s="84"/>
      <c r="D35" s="84"/>
      <c r="E35" s="84"/>
      <c r="F35" s="84"/>
      <c r="G35" s="51">
        <v>1000</v>
      </c>
      <c r="H35" s="79" t="s">
        <v>8</v>
      </c>
      <c r="I35" s="79"/>
      <c r="J35" s="79"/>
      <c r="K35" s="80"/>
      <c r="M35" s="30" t="s">
        <v>55</v>
      </c>
      <c r="N35" s="47">
        <f>SUM(N37:N40)</f>
        <v>26.669999999999998</v>
      </c>
      <c r="O35" s="48">
        <f>SUM(O37:O40)</f>
        <v>26.669999999999998</v>
      </c>
      <c r="P35" s="47">
        <f>SUM(P37:P40)</f>
        <v>256.01</v>
      </c>
      <c r="Q35" s="49">
        <f>SUM(Q37:Q40)</f>
        <v>134.82000000000002</v>
      </c>
      <c r="S35" s="9"/>
      <c r="T35" s="18"/>
      <c r="U35" s="9"/>
      <c r="V35" s="18"/>
    </row>
    <row r="36" spans="2:22" ht="18.75" thickTop="1" thickBot="1" x14ac:dyDescent="0.3">
      <c r="B36" s="81" t="s">
        <v>7</v>
      </c>
      <c r="C36" s="82"/>
      <c r="D36" s="82"/>
      <c r="E36" s="82"/>
      <c r="F36" s="82"/>
      <c r="G36" s="53">
        <v>0.03</v>
      </c>
      <c r="H36" s="77" t="s">
        <v>9</v>
      </c>
      <c r="I36" s="77"/>
      <c r="J36" s="77"/>
      <c r="K36" s="78"/>
      <c r="M36" s="27" t="s">
        <v>59</v>
      </c>
      <c r="N36" s="28" t="s">
        <v>88</v>
      </c>
      <c r="O36" s="28" t="s">
        <v>89</v>
      </c>
      <c r="P36" s="28" t="s">
        <v>90</v>
      </c>
      <c r="Q36" s="29" t="s">
        <v>91</v>
      </c>
      <c r="S36" s="9"/>
      <c r="T36" s="19"/>
      <c r="U36" s="9"/>
      <c r="V36" s="19"/>
    </row>
    <row r="37" spans="2:22" ht="15.75" thickBot="1" x14ac:dyDescent="0.3">
      <c r="C37" s="1"/>
      <c r="M37" s="11" t="s">
        <v>61</v>
      </c>
      <c r="N37" s="23">
        <f>N23</f>
        <v>0</v>
      </c>
      <c r="O37" s="23">
        <f>P23</f>
        <v>0</v>
      </c>
      <c r="P37" s="23">
        <f>R23</f>
        <v>202.17</v>
      </c>
      <c r="Q37" s="24">
        <f>T23</f>
        <v>67.39</v>
      </c>
      <c r="S37" s="9"/>
      <c r="T37" s="19"/>
      <c r="U37" s="9"/>
      <c r="V37" s="19"/>
    </row>
    <row r="38" spans="2:22" ht="15.75" thickBot="1" x14ac:dyDescent="0.3">
      <c r="B38" s="70" t="s">
        <v>28</v>
      </c>
      <c r="C38" s="71"/>
      <c r="D38" s="71"/>
      <c r="E38" s="71"/>
      <c r="F38" s="71"/>
      <c r="G38" s="71"/>
      <c r="H38" s="71"/>
      <c r="I38" s="71"/>
      <c r="J38" s="71"/>
      <c r="K38" s="72"/>
      <c r="M38" s="11" t="s">
        <v>62</v>
      </c>
      <c r="N38" s="23">
        <f>N25</f>
        <v>0</v>
      </c>
      <c r="O38" s="23">
        <f>P25</f>
        <v>0</v>
      </c>
      <c r="P38" s="23">
        <f>R25</f>
        <v>27.17</v>
      </c>
      <c r="Q38" s="24">
        <f>T25</f>
        <v>40.76</v>
      </c>
      <c r="S38" s="9"/>
      <c r="T38" s="19"/>
      <c r="U38" s="9"/>
      <c r="V38" s="19"/>
    </row>
    <row r="39" spans="2:22" ht="15.75" thickTop="1" x14ac:dyDescent="0.25">
      <c r="B39" s="73" t="s">
        <v>3</v>
      </c>
      <c r="C39" s="74"/>
      <c r="D39" s="74"/>
      <c r="E39" s="74"/>
      <c r="F39" s="74"/>
      <c r="G39" s="14" t="s">
        <v>4</v>
      </c>
      <c r="H39" s="74" t="s">
        <v>49</v>
      </c>
      <c r="I39" s="74"/>
      <c r="J39" s="74"/>
      <c r="K39" s="91"/>
      <c r="M39" s="11" t="s">
        <v>66</v>
      </c>
      <c r="N39" s="23">
        <f>N30</f>
        <v>22.49</v>
      </c>
      <c r="O39" s="23">
        <f>P30</f>
        <v>22.49</v>
      </c>
      <c r="P39" s="23">
        <f>R30</f>
        <v>22.49</v>
      </c>
      <c r="Q39" s="24">
        <f>T30</f>
        <v>22.49</v>
      </c>
      <c r="S39" s="9"/>
      <c r="T39" s="19"/>
      <c r="U39" s="9"/>
      <c r="V39" s="19"/>
    </row>
    <row r="40" spans="2:22" ht="15.75" thickBot="1" x14ac:dyDescent="0.3">
      <c r="B40" s="83" t="s">
        <v>30</v>
      </c>
      <c r="C40" s="84"/>
      <c r="D40" s="84"/>
      <c r="E40" s="84"/>
      <c r="F40" s="84"/>
      <c r="G40" s="4">
        <v>6.2</v>
      </c>
      <c r="H40" s="79" t="s">
        <v>34</v>
      </c>
      <c r="I40" s="79"/>
      <c r="J40" s="79"/>
      <c r="K40" s="80"/>
      <c r="M40" s="12" t="s">
        <v>65</v>
      </c>
      <c r="N40" s="25">
        <f>N32</f>
        <v>4.18</v>
      </c>
      <c r="O40" s="25">
        <f>P32</f>
        <v>4.18</v>
      </c>
      <c r="P40" s="25">
        <f>R32</f>
        <v>4.18</v>
      </c>
      <c r="Q40" s="26">
        <f>T32</f>
        <v>4.18</v>
      </c>
      <c r="S40" s="9"/>
      <c r="T40" s="17"/>
      <c r="U40" s="9"/>
      <c r="V40" s="17"/>
    </row>
    <row r="41" spans="2:22" x14ac:dyDescent="0.25">
      <c r="B41" s="83" t="s">
        <v>31</v>
      </c>
      <c r="C41" s="84"/>
      <c r="D41" s="84"/>
      <c r="E41" s="84"/>
      <c r="F41" s="84"/>
      <c r="G41" s="5">
        <f>G36*Q17*Q15*1000</f>
        <v>27.828084922860263</v>
      </c>
      <c r="H41" s="79" t="s">
        <v>35</v>
      </c>
      <c r="I41" s="79"/>
      <c r="J41" s="79"/>
      <c r="K41" s="80"/>
    </row>
    <row r="42" spans="2:22" x14ac:dyDescent="0.25">
      <c r="B42" s="83" t="s">
        <v>32</v>
      </c>
      <c r="C42" s="84"/>
      <c r="D42" s="84"/>
      <c r="E42" s="84"/>
      <c r="F42" s="84"/>
      <c r="G42" s="4">
        <v>2.5</v>
      </c>
      <c r="H42" s="79" t="s">
        <v>34</v>
      </c>
      <c r="I42" s="79"/>
      <c r="J42" s="79"/>
      <c r="K42" s="80"/>
    </row>
    <row r="43" spans="2:22" ht="15.75" thickBot="1" x14ac:dyDescent="0.3">
      <c r="B43" s="81" t="s">
        <v>33</v>
      </c>
      <c r="C43" s="82"/>
      <c r="D43" s="82"/>
      <c r="E43" s="82"/>
      <c r="F43" s="82"/>
      <c r="G43" s="3">
        <f>G36*Q18*Q16*1000</f>
        <v>25.830996893532074</v>
      </c>
      <c r="H43" s="77" t="s">
        <v>35</v>
      </c>
      <c r="I43" s="77"/>
      <c r="J43" s="77"/>
      <c r="K43" s="78"/>
      <c r="M43" s="62" t="s">
        <v>93</v>
      </c>
      <c r="N43" s="62"/>
      <c r="O43" s="62"/>
      <c r="P43" s="46">
        <f>MAX(N35:Q35)</f>
        <v>256.01</v>
      </c>
      <c r="Q43" s="21"/>
      <c r="S43" s="22"/>
    </row>
    <row r="44" spans="2:22" ht="15.75" thickBot="1" x14ac:dyDescent="0.3">
      <c r="M44" s="62" t="s">
        <v>92</v>
      </c>
      <c r="N44" s="62"/>
      <c r="O44" s="62"/>
      <c r="P44" s="46" t="str">
        <f>HLOOKUP(P43,N35:Q40,2,FALSE)</f>
        <v>3rd Quarter</v>
      </c>
      <c r="Q44" s="21"/>
      <c r="S44" s="22"/>
    </row>
    <row r="45" spans="2:22" ht="17.25" x14ac:dyDescent="0.25">
      <c r="B45" s="103" t="s">
        <v>95</v>
      </c>
      <c r="C45" s="104"/>
      <c r="D45" s="104"/>
      <c r="E45" s="104"/>
      <c r="F45" s="104"/>
      <c r="G45" s="104"/>
      <c r="H45" s="104"/>
      <c r="I45" s="104"/>
      <c r="J45" s="104"/>
      <c r="K45" s="105"/>
    </row>
    <row r="46" spans="2:22" x14ac:dyDescent="0.25">
      <c r="B46" s="106" t="s">
        <v>3</v>
      </c>
      <c r="C46" s="107"/>
      <c r="D46" s="107"/>
      <c r="E46" s="107"/>
      <c r="F46" s="107"/>
      <c r="G46" s="98" t="s">
        <v>50</v>
      </c>
      <c r="H46" s="98"/>
      <c r="I46" s="107" t="s">
        <v>51</v>
      </c>
      <c r="J46" s="107"/>
      <c r="K46" s="108"/>
    </row>
    <row r="47" spans="2:22" x14ac:dyDescent="0.25">
      <c r="B47" s="83" t="s">
        <v>53</v>
      </c>
      <c r="C47" s="84"/>
      <c r="D47" s="84"/>
      <c r="E47" s="84"/>
      <c r="F47" s="84"/>
      <c r="G47" s="99">
        <f>HLOOKUP($P$43,$N$35:$Q$40,3)</f>
        <v>202.17</v>
      </c>
      <c r="H47" s="99"/>
      <c r="I47" s="89">
        <f>G40/1000*G32/2000</f>
        <v>12.4</v>
      </c>
      <c r="J47" s="89"/>
      <c r="K47" s="90"/>
    </row>
    <row r="48" spans="2:22" x14ac:dyDescent="0.25">
      <c r="B48" s="83" t="s">
        <v>52</v>
      </c>
      <c r="C48" s="84"/>
      <c r="D48" s="84"/>
      <c r="E48" s="84"/>
      <c r="F48" s="84"/>
      <c r="G48" s="99">
        <f>HLOOKUP($P$43,$N$35:$Q$40,4)</f>
        <v>27.17</v>
      </c>
      <c r="H48" s="99"/>
      <c r="I48" s="89">
        <f>G42/1000*G33/2000</f>
        <v>3.125</v>
      </c>
      <c r="J48" s="89"/>
      <c r="K48" s="90"/>
    </row>
    <row r="49" spans="2:23" x14ac:dyDescent="0.25">
      <c r="B49" s="94" t="s">
        <v>54</v>
      </c>
      <c r="C49" s="95"/>
      <c r="D49" s="95"/>
      <c r="E49" s="95"/>
      <c r="F49" s="95"/>
      <c r="G49" s="99">
        <f>HLOOKUP($P$43,$N$35:$Q$40,5)</f>
        <v>22.49</v>
      </c>
      <c r="H49" s="99"/>
      <c r="I49" s="89">
        <f>SUM(N29:V29)/2000</f>
        <v>4.1046450000000005</v>
      </c>
      <c r="J49" s="89"/>
      <c r="K49" s="90"/>
    </row>
    <row r="50" spans="2:23" ht="15.75" thickBot="1" x14ac:dyDescent="0.3">
      <c r="B50" s="96" t="s">
        <v>29</v>
      </c>
      <c r="C50" s="97"/>
      <c r="D50" s="97"/>
      <c r="E50" s="97"/>
      <c r="F50" s="97"/>
      <c r="G50" s="100">
        <f>HLOOKUP($P$43,N35:Q40,6)</f>
        <v>4.18</v>
      </c>
      <c r="H50" s="100"/>
      <c r="I50" s="101">
        <f>SUM(N31:V31)/2000</f>
        <v>0.76201499999999989</v>
      </c>
      <c r="J50" s="101"/>
      <c r="K50" s="102"/>
    </row>
    <row r="51" spans="2:23" ht="16.5" thickTop="1" thickBot="1" x14ac:dyDescent="0.3">
      <c r="B51" s="81" t="s">
        <v>55</v>
      </c>
      <c r="C51" s="82"/>
      <c r="D51" s="82"/>
      <c r="E51" s="82"/>
      <c r="F51" s="82"/>
      <c r="G51" s="92">
        <f>SUM(G47:H50)</f>
        <v>256.01</v>
      </c>
      <c r="H51" s="92"/>
      <c r="I51" s="92">
        <f>SUM(I47:K50)</f>
        <v>20.391660000000002</v>
      </c>
      <c r="J51" s="92"/>
      <c r="K51" s="93"/>
    </row>
    <row r="52" spans="2:23" ht="17.25" x14ac:dyDescent="0.25">
      <c r="B52" s="7" t="s">
        <v>98</v>
      </c>
    </row>
    <row r="62" spans="2:23" x14ac:dyDescent="0.25">
      <c r="M62" s="9"/>
      <c r="N62" s="9"/>
      <c r="O62" s="9"/>
      <c r="P62" s="9"/>
      <c r="Q62" s="9"/>
      <c r="R62" s="9"/>
      <c r="S62" s="9"/>
      <c r="T62" s="9"/>
      <c r="U62" s="9"/>
      <c r="V62" s="9"/>
    </row>
    <row r="63" spans="2:23" x14ac:dyDescent="0.25"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</row>
    <row r="64" spans="2:23" x14ac:dyDescent="0.25">
      <c r="M64" s="8"/>
      <c r="N64" s="8"/>
      <c r="O64" s="8"/>
      <c r="P64" s="8"/>
      <c r="Q64" s="8"/>
      <c r="R64" s="8"/>
      <c r="S64" s="8"/>
      <c r="T64" s="8"/>
      <c r="U64" s="8"/>
      <c r="V64" s="8"/>
      <c r="W64" s="9"/>
    </row>
    <row r="65" spans="13:23" x14ac:dyDescent="0.25">
      <c r="M65" s="8"/>
      <c r="N65" s="8"/>
      <c r="O65" s="8"/>
      <c r="P65" s="8"/>
      <c r="Q65" s="8"/>
      <c r="R65" s="8"/>
      <c r="S65" s="8"/>
      <c r="T65" s="8"/>
      <c r="U65" s="8"/>
      <c r="V65" s="8"/>
      <c r="W65" s="9"/>
    </row>
    <row r="66" spans="13:23" x14ac:dyDescent="0.25">
      <c r="M66" s="8"/>
      <c r="N66" s="8"/>
      <c r="O66" s="8"/>
      <c r="P66" s="8"/>
      <c r="Q66" s="8"/>
      <c r="R66" s="8"/>
      <c r="S66" s="8"/>
      <c r="T66" s="8"/>
      <c r="U66" s="8"/>
      <c r="V66" s="8"/>
      <c r="W66" s="9"/>
    </row>
    <row r="67" spans="13:23" x14ac:dyDescent="0.25">
      <c r="M67" s="8"/>
      <c r="N67" s="8"/>
      <c r="O67" s="8"/>
      <c r="P67" s="8"/>
      <c r="Q67" s="8"/>
      <c r="R67" s="8"/>
      <c r="S67" s="8"/>
      <c r="T67" s="8"/>
      <c r="U67" s="8"/>
      <c r="V67" s="8"/>
      <c r="W67" s="9"/>
    </row>
    <row r="68" spans="13:23" x14ac:dyDescent="0.25">
      <c r="M68" s="8"/>
      <c r="N68" s="8"/>
      <c r="O68" s="8"/>
      <c r="P68" s="8"/>
      <c r="Q68" s="8"/>
      <c r="R68" s="8"/>
      <c r="S68" s="8"/>
      <c r="T68" s="8"/>
      <c r="U68" s="8"/>
      <c r="V68" s="8"/>
      <c r="W68" s="9"/>
    </row>
    <row r="69" spans="13:23" x14ac:dyDescent="0.25">
      <c r="M69" s="8"/>
      <c r="N69" s="8"/>
      <c r="O69" s="8"/>
      <c r="P69" s="8"/>
      <c r="Q69" s="8"/>
      <c r="R69" s="8"/>
      <c r="S69" s="8"/>
      <c r="T69" s="8"/>
      <c r="U69" s="8"/>
      <c r="V69" s="8"/>
    </row>
    <row r="70" spans="13:23" x14ac:dyDescent="0.25">
      <c r="M70" s="8"/>
      <c r="N70" s="8"/>
      <c r="O70" s="8"/>
      <c r="P70" s="8"/>
      <c r="Q70" s="8"/>
      <c r="R70" s="8"/>
      <c r="S70" s="8"/>
      <c r="T70" s="8"/>
      <c r="U70" s="8"/>
      <c r="V70" s="8"/>
    </row>
  </sheetData>
  <mergeCells count="148">
    <mergeCell ref="M7:U7"/>
    <mergeCell ref="R12:U12"/>
    <mergeCell ref="R11:U11"/>
    <mergeCell ref="R10:U10"/>
    <mergeCell ref="R9:U9"/>
    <mergeCell ref="N21:O21"/>
    <mergeCell ref="N22:O22"/>
    <mergeCell ref="N23:O23"/>
    <mergeCell ref="N24:O24"/>
    <mergeCell ref="N25:O25"/>
    <mergeCell ref="P25:Q25"/>
    <mergeCell ref="P24:Q24"/>
    <mergeCell ref="P23:Q23"/>
    <mergeCell ref="P22:Q22"/>
    <mergeCell ref="P21:Q21"/>
    <mergeCell ref="R21:S21"/>
    <mergeCell ref="R22:S22"/>
    <mergeCell ref="R23:S23"/>
    <mergeCell ref="R24:S24"/>
    <mergeCell ref="R25:S25"/>
    <mergeCell ref="T25:U25"/>
    <mergeCell ref="T24:U24"/>
    <mergeCell ref="T23:U23"/>
    <mergeCell ref="T22:U22"/>
    <mergeCell ref="T21:U21"/>
    <mergeCell ref="R13:U13"/>
    <mergeCell ref="R14:U14"/>
    <mergeCell ref="R15:U15"/>
    <mergeCell ref="R16:U16"/>
    <mergeCell ref="R17:U17"/>
    <mergeCell ref="R18:U18"/>
    <mergeCell ref="M34:Q34"/>
    <mergeCell ref="M43:O43"/>
    <mergeCell ref="M44:O44"/>
    <mergeCell ref="M9:P9"/>
    <mergeCell ref="M10:P10"/>
    <mergeCell ref="M11:P11"/>
    <mergeCell ref="M12:P12"/>
    <mergeCell ref="M13:P13"/>
    <mergeCell ref="M14:P14"/>
    <mergeCell ref="M15:P15"/>
    <mergeCell ref="M16:P16"/>
    <mergeCell ref="M17:P17"/>
    <mergeCell ref="M18:P18"/>
    <mergeCell ref="M20:U20"/>
    <mergeCell ref="N28:O28"/>
    <mergeCell ref="N29:O29"/>
    <mergeCell ref="N30:O30"/>
    <mergeCell ref="N31:O31"/>
    <mergeCell ref="N32:O32"/>
    <mergeCell ref="P28:Q28"/>
    <mergeCell ref="P29:Q29"/>
    <mergeCell ref="P30:Q30"/>
    <mergeCell ref="P31:Q31"/>
    <mergeCell ref="M27:U27"/>
    <mergeCell ref="H27:K27"/>
    <mergeCell ref="B28:F28"/>
    <mergeCell ref="H28:K28"/>
    <mergeCell ref="B23:F23"/>
    <mergeCell ref="B43:F43"/>
    <mergeCell ref="H43:K43"/>
    <mergeCell ref="B51:F51"/>
    <mergeCell ref="G51:H51"/>
    <mergeCell ref="I51:K51"/>
    <mergeCell ref="B49:F49"/>
    <mergeCell ref="B50:F50"/>
    <mergeCell ref="G46:H46"/>
    <mergeCell ref="G47:H47"/>
    <mergeCell ref="G48:H48"/>
    <mergeCell ref="G49:H49"/>
    <mergeCell ref="G50:H50"/>
    <mergeCell ref="I49:K49"/>
    <mergeCell ref="I50:K50"/>
    <mergeCell ref="B45:K45"/>
    <mergeCell ref="B46:F46"/>
    <mergeCell ref="B47:F47"/>
    <mergeCell ref="B48:F48"/>
    <mergeCell ref="I46:K46"/>
    <mergeCell ref="I47:K47"/>
    <mergeCell ref="I48:K48"/>
    <mergeCell ref="B42:F42"/>
    <mergeCell ref="H42:K42"/>
    <mergeCell ref="B38:K38"/>
    <mergeCell ref="B39:F39"/>
    <mergeCell ref="H39:K39"/>
    <mergeCell ref="B40:F40"/>
    <mergeCell ref="H40:K40"/>
    <mergeCell ref="B41:F41"/>
    <mergeCell ref="H41:K41"/>
    <mergeCell ref="H32:K32"/>
    <mergeCell ref="B30:K30"/>
    <mergeCell ref="H31:K31"/>
    <mergeCell ref="H23:K23"/>
    <mergeCell ref="B24:F24"/>
    <mergeCell ref="H24:K24"/>
    <mergeCell ref="M8:P8"/>
    <mergeCell ref="H13:K13"/>
    <mergeCell ref="H14:K14"/>
    <mergeCell ref="B10:F10"/>
    <mergeCell ref="B11:F11"/>
    <mergeCell ref="B12:F12"/>
    <mergeCell ref="B13:F13"/>
    <mergeCell ref="B14:F14"/>
    <mergeCell ref="H10:K10"/>
    <mergeCell ref="B21:F21"/>
    <mergeCell ref="H21:K21"/>
    <mergeCell ref="B22:F22"/>
    <mergeCell ref="H22:K22"/>
    <mergeCell ref="H25:K25"/>
    <mergeCell ref="H26:K26"/>
    <mergeCell ref="B25:F25"/>
    <mergeCell ref="B26:F26"/>
    <mergeCell ref="B27:F27"/>
    <mergeCell ref="B7:K7"/>
    <mergeCell ref="B8:F8"/>
    <mergeCell ref="H8:K8"/>
    <mergeCell ref="H36:K36"/>
    <mergeCell ref="H35:K35"/>
    <mergeCell ref="H34:K34"/>
    <mergeCell ref="H33:K33"/>
    <mergeCell ref="B36:F36"/>
    <mergeCell ref="B35:F35"/>
    <mergeCell ref="B34:F34"/>
    <mergeCell ref="B33:F33"/>
    <mergeCell ref="B32:F32"/>
    <mergeCell ref="B31:F31"/>
    <mergeCell ref="B9:F9"/>
    <mergeCell ref="H9:K9"/>
    <mergeCell ref="B15:F15"/>
    <mergeCell ref="H15:K15"/>
    <mergeCell ref="B16:F16"/>
    <mergeCell ref="H16:K16"/>
    <mergeCell ref="H11:K11"/>
    <mergeCell ref="H12:K12"/>
    <mergeCell ref="B20:F20"/>
    <mergeCell ref="H20:K20"/>
    <mergeCell ref="B19:K19"/>
    <mergeCell ref="R28:S28"/>
    <mergeCell ref="R29:S29"/>
    <mergeCell ref="T29:U29"/>
    <mergeCell ref="T28:U28"/>
    <mergeCell ref="P32:Q32"/>
    <mergeCell ref="R30:S30"/>
    <mergeCell ref="R31:S31"/>
    <mergeCell ref="R32:S32"/>
    <mergeCell ref="T32:U32"/>
    <mergeCell ref="T31:U31"/>
    <mergeCell ref="T30:U30"/>
  </mergeCells>
  <pageMargins left="0.7" right="0.7" top="0.75" bottom="0.75" header="0.3" footer="0.3"/>
  <pageSetup scale="82" orientation="portrait" horizontalDpi="4294967295" verticalDpi="4294967295" r:id="rId1"/>
  <headerFooter>
    <oddFooter>&amp;L&amp;Z&amp;F</oddFooter>
  </headerFooter>
  <colBreaks count="2" manualBreakCount="2">
    <brk id="11" max="50" man="1"/>
    <brk id="21" max="1048575" man="1"/>
  </colBreaks>
  <ignoredErrors>
    <ignoredError sqref="G32:G3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view="pageLayout" zoomScaleNormal="100" workbookViewId="0">
      <selection activeCell="G4" sqref="G4"/>
    </sheetView>
  </sheetViews>
  <sheetFormatPr defaultRowHeight="15" x14ac:dyDescent="0.25"/>
  <cols>
    <col min="13" max="13" width="12" bestFit="1" customWidth="1"/>
  </cols>
  <sheetData>
    <row r="1" spans="1:21" ht="23.25" x14ac:dyDescent="0.25">
      <c r="E1" s="13" t="s">
        <v>68</v>
      </c>
      <c r="O1" s="13" t="s">
        <v>68</v>
      </c>
    </row>
    <row r="3" spans="1:21" x14ac:dyDescent="0.25">
      <c r="C3" s="1" t="s">
        <v>0</v>
      </c>
      <c r="D3" s="61" t="str">
        <f>'Winery Emissions'!D3</f>
        <v>Cabernet Sauvignon</v>
      </c>
      <c r="M3" s="1" t="s">
        <v>0</v>
      </c>
      <c r="N3" t="str">
        <f>'Winery Emissions'!D3</f>
        <v>Cabernet Sauvignon</v>
      </c>
    </row>
    <row r="4" spans="1:21" x14ac:dyDescent="0.25">
      <c r="C4" s="1" t="s">
        <v>1</v>
      </c>
      <c r="D4" s="61" t="str">
        <f>'Winery Emissions'!D4</f>
        <v>Mr. Wine</v>
      </c>
      <c r="M4" s="1" t="s">
        <v>1</v>
      </c>
      <c r="N4" t="str">
        <f>'Winery Emissions'!D4</f>
        <v>Mr. Wine</v>
      </c>
    </row>
    <row r="5" spans="1:21" x14ac:dyDescent="0.25">
      <c r="C5" s="1" t="s">
        <v>2</v>
      </c>
      <c r="D5" s="60" t="s">
        <v>101</v>
      </c>
      <c r="M5" s="1" t="s">
        <v>2</v>
      </c>
      <c r="N5" t="str">
        <f>D5</f>
        <v>GNR-017XXX</v>
      </c>
    </row>
    <row r="6" spans="1:21" ht="15.75" thickBot="1" x14ac:dyDescent="0.3"/>
    <row r="7" spans="1:21" ht="15.75" thickBot="1" x14ac:dyDescent="0.3">
      <c r="A7" s="70" t="s">
        <v>70</v>
      </c>
      <c r="B7" s="71"/>
      <c r="C7" s="71"/>
      <c r="D7" s="71"/>
      <c r="E7" s="71"/>
      <c r="F7" s="71"/>
      <c r="G7" s="71"/>
      <c r="H7" s="71"/>
      <c r="I7" s="71"/>
      <c r="J7" s="72"/>
      <c r="L7" s="70" t="s">
        <v>78</v>
      </c>
      <c r="M7" s="71"/>
      <c r="N7" s="71"/>
      <c r="O7" s="71"/>
      <c r="P7" s="71"/>
      <c r="Q7" s="71"/>
      <c r="R7" s="71"/>
      <c r="S7" s="71"/>
      <c r="T7" s="72"/>
      <c r="U7" s="18"/>
    </row>
    <row r="8" spans="1:21" ht="15.75" thickTop="1" x14ac:dyDescent="0.25">
      <c r="A8" s="73" t="s">
        <v>3</v>
      </c>
      <c r="B8" s="74"/>
      <c r="C8" s="74"/>
      <c r="D8" s="74"/>
      <c r="E8" s="74"/>
      <c r="F8" s="14" t="s">
        <v>4</v>
      </c>
      <c r="G8" s="75" t="s">
        <v>49</v>
      </c>
      <c r="H8" s="75"/>
      <c r="I8" s="75"/>
      <c r="J8" s="76"/>
      <c r="L8" s="73" t="s">
        <v>3</v>
      </c>
      <c r="M8" s="74"/>
      <c r="N8" s="74"/>
      <c r="O8" s="74"/>
      <c r="P8" s="74"/>
      <c r="Q8" s="2" t="s">
        <v>4</v>
      </c>
      <c r="R8" s="74" t="s">
        <v>49</v>
      </c>
      <c r="S8" s="74"/>
      <c r="T8" s="91"/>
      <c r="U8" s="31"/>
    </row>
    <row r="9" spans="1:21" x14ac:dyDescent="0.25">
      <c r="A9" s="83" t="s">
        <v>69</v>
      </c>
      <c r="B9" s="84"/>
      <c r="C9" s="84"/>
      <c r="D9" s="84"/>
      <c r="E9" s="84"/>
      <c r="F9" s="51">
        <v>1000000</v>
      </c>
      <c r="G9" s="79" t="s">
        <v>8</v>
      </c>
      <c r="H9" s="79"/>
      <c r="I9" s="79"/>
      <c r="J9" s="80"/>
      <c r="L9" s="83" t="s">
        <v>79</v>
      </c>
      <c r="M9" s="84"/>
      <c r="N9" s="84"/>
      <c r="O9" s="84"/>
      <c r="P9" s="84"/>
      <c r="Q9" s="57">
        <v>0.56000000000000005</v>
      </c>
      <c r="R9" s="79" t="s">
        <v>38</v>
      </c>
      <c r="S9" s="79"/>
      <c r="T9" s="80"/>
      <c r="U9" s="32"/>
    </row>
    <row r="10" spans="1:21" x14ac:dyDescent="0.25">
      <c r="A10" s="83" t="s">
        <v>72</v>
      </c>
      <c r="B10" s="84"/>
      <c r="C10" s="84"/>
      <c r="D10" s="84"/>
      <c r="E10" s="84"/>
      <c r="F10" s="51">
        <v>75</v>
      </c>
      <c r="G10" s="79" t="s">
        <v>9</v>
      </c>
      <c r="H10" s="79"/>
      <c r="I10" s="79"/>
      <c r="J10" s="80"/>
      <c r="L10" s="83" t="s">
        <v>80</v>
      </c>
      <c r="M10" s="84"/>
      <c r="N10" s="84"/>
      <c r="O10" s="84"/>
      <c r="P10" s="84"/>
      <c r="Q10" s="58">
        <f>ROUND(((F12*F10)+(F13*F11))/365,0)</f>
        <v>912</v>
      </c>
      <c r="R10" s="79" t="s">
        <v>35</v>
      </c>
      <c r="S10" s="79"/>
      <c r="T10" s="80"/>
      <c r="U10" s="32"/>
    </row>
    <row r="11" spans="1:21" x14ac:dyDescent="0.25">
      <c r="A11" s="83" t="s">
        <v>71</v>
      </c>
      <c r="B11" s="84"/>
      <c r="C11" s="84"/>
      <c r="D11" s="84"/>
      <c r="E11" s="84"/>
      <c r="F11" s="51">
        <v>290</v>
      </c>
      <c r="G11" s="79" t="s">
        <v>9</v>
      </c>
      <c r="H11" s="79"/>
      <c r="I11" s="79"/>
      <c r="J11" s="80"/>
      <c r="L11" s="83" t="s">
        <v>82</v>
      </c>
      <c r="M11" s="84"/>
      <c r="N11" s="84"/>
      <c r="O11" s="84"/>
      <c r="P11" s="84"/>
      <c r="Q11" s="54">
        <v>454</v>
      </c>
      <c r="R11" s="79" t="s">
        <v>38</v>
      </c>
      <c r="S11" s="79"/>
      <c r="T11" s="80"/>
      <c r="U11" s="32"/>
    </row>
    <row r="12" spans="1:21" x14ac:dyDescent="0.25">
      <c r="A12" s="83" t="s">
        <v>73</v>
      </c>
      <c r="B12" s="84"/>
      <c r="C12" s="84"/>
      <c r="D12" s="84"/>
      <c r="E12" s="84"/>
      <c r="F12" s="51">
        <v>2086</v>
      </c>
      <c r="G12" s="79" t="s">
        <v>9</v>
      </c>
      <c r="H12" s="79"/>
      <c r="I12" s="79"/>
      <c r="J12" s="80"/>
      <c r="L12" s="83" t="s">
        <v>83</v>
      </c>
      <c r="M12" s="84"/>
      <c r="N12" s="84"/>
      <c r="O12" s="84"/>
      <c r="P12" s="84"/>
      <c r="Q12" s="54">
        <v>1000</v>
      </c>
      <c r="R12" s="79" t="s">
        <v>38</v>
      </c>
      <c r="S12" s="79"/>
      <c r="T12" s="80"/>
      <c r="U12" s="32"/>
    </row>
    <row r="13" spans="1:21" ht="15.75" thickBot="1" x14ac:dyDescent="0.3">
      <c r="A13" s="83" t="s">
        <v>74</v>
      </c>
      <c r="B13" s="84"/>
      <c r="C13" s="84"/>
      <c r="D13" s="84"/>
      <c r="E13" s="84"/>
      <c r="F13" s="51">
        <v>608</v>
      </c>
      <c r="G13" s="79" t="s">
        <v>9</v>
      </c>
      <c r="H13" s="79"/>
      <c r="I13" s="79"/>
      <c r="J13" s="80"/>
      <c r="L13" s="85" t="s">
        <v>81</v>
      </c>
      <c r="M13" s="86"/>
      <c r="N13" s="86"/>
      <c r="O13" s="86"/>
      <c r="P13" s="86"/>
      <c r="Q13" s="55">
        <v>3.78</v>
      </c>
      <c r="R13" s="77" t="s">
        <v>38</v>
      </c>
      <c r="S13" s="77"/>
      <c r="T13" s="78"/>
      <c r="U13" s="32"/>
    </row>
    <row r="14" spans="1:21" ht="28.5" customHeight="1" thickBot="1" x14ac:dyDescent="0.3">
      <c r="A14" s="130" t="s">
        <v>75</v>
      </c>
      <c r="B14" s="131"/>
      <c r="C14" s="131"/>
      <c r="D14" s="131"/>
      <c r="E14" s="131"/>
      <c r="F14" s="56">
        <v>0.03</v>
      </c>
      <c r="G14" s="77" t="s">
        <v>9</v>
      </c>
      <c r="H14" s="77"/>
      <c r="I14" s="77"/>
      <c r="J14" s="78"/>
    </row>
    <row r="15" spans="1:21" ht="15.75" thickBot="1" x14ac:dyDescent="0.3"/>
    <row r="16" spans="1:21" ht="15.75" thickBot="1" x14ac:dyDescent="0.3">
      <c r="A16" s="70" t="s">
        <v>28</v>
      </c>
      <c r="B16" s="71"/>
      <c r="C16" s="71"/>
      <c r="D16" s="71"/>
      <c r="E16" s="71"/>
      <c r="F16" s="71"/>
      <c r="G16" s="71"/>
      <c r="H16" s="71"/>
      <c r="I16" s="71"/>
      <c r="J16" s="72"/>
    </row>
    <row r="17" spans="1:10" ht="15.75" thickTop="1" x14ac:dyDescent="0.25">
      <c r="A17" s="73" t="s">
        <v>3</v>
      </c>
      <c r="B17" s="74"/>
      <c r="C17" s="74"/>
      <c r="D17" s="74"/>
      <c r="E17" s="74"/>
      <c r="F17" s="14" t="s">
        <v>4</v>
      </c>
      <c r="G17" s="74" t="s">
        <v>49</v>
      </c>
      <c r="H17" s="74"/>
      <c r="I17" s="74"/>
      <c r="J17" s="91"/>
    </row>
    <row r="18" spans="1:10" x14ac:dyDescent="0.25">
      <c r="A18" s="83" t="s">
        <v>84</v>
      </c>
      <c r="B18" s="84"/>
      <c r="C18" s="84"/>
      <c r="D18" s="84"/>
      <c r="E18" s="84"/>
      <c r="F18" s="58">
        <f>Q10*(1/Q12)*(1/Q11)*(Q13)*F14*1000</f>
        <v>0.2277991189427313</v>
      </c>
      <c r="G18" s="79" t="s">
        <v>35</v>
      </c>
      <c r="H18" s="79"/>
      <c r="I18" s="79"/>
      <c r="J18" s="80"/>
    </row>
    <row r="19" spans="1:10" ht="15.75" thickBot="1" x14ac:dyDescent="0.3">
      <c r="A19" s="85" t="s">
        <v>85</v>
      </c>
      <c r="B19" s="86"/>
      <c r="C19" s="86"/>
      <c r="D19" s="86"/>
      <c r="E19" s="86"/>
      <c r="F19" s="16">
        <f>Q10*(1/Q12)*(1/Q11)*(Q13)*F14</f>
        <v>2.2779911894273131E-4</v>
      </c>
      <c r="G19" s="77" t="s">
        <v>35</v>
      </c>
      <c r="H19" s="77"/>
      <c r="I19" s="77"/>
      <c r="J19" s="78"/>
    </row>
    <row r="20" spans="1:10" ht="15.75" thickBot="1" x14ac:dyDescent="0.3"/>
    <row r="21" spans="1:10" ht="15.75" thickBot="1" x14ac:dyDescent="0.3">
      <c r="A21" s="70" t="s">
        <v>76</v>
      </c>
      <c r="B21" s="71"/>
      <c r="C21" s="71"/>
      <c r="D21" s="71"/>
      <c r="E21" s="71"/>
      <c r="F21" s="71"/>
      <c r="G21" s="71"/>
      <c r="H21" s="71"/>
      <c r="I21" s="71"/>
      <c r="J21" s="72"/>
    </row>
    <row r="22" spans="1:10" ht="15.75" thickTop="1" x14ac:dyDescent="0.25">
      <c r="A22" s="73" t="s">
        <v>3</v>
      </c>
      <c r="B22" s="74"/>
      <c r="C22" s="74"/>
      <c r="D22" s="74"/>
      <c r="E22" s="74"/>
      <c r="F22" s="133" t="s">
        <v>50</v>
      </c>
      <c r="G22" s="133"/>
      <c r="H22" s="74" t="s">
        <v>51</v>
      </c>
      <c r="I22" s="74"/>
      <c r="J22" s="91"/>
    </row>
    <row r="23" spans="1:10" ht="15.75" thickBot="1" x14ac:dyDescent="0.3">
      <c r="A23" s="85" t="s">
        <v>77</v>
      </c>
      <c r="B23" s="86"/>
      <c r="C23" s="86"/>
      <c r="D23" s="86"/>
      <c r="E23" s="86"/>
      <c r="F23" s="132">
        <f>(F19*F9)/365</f>
        <v>0.62410717518556524</v>
      </c>
      <c r="G23" s="132"/>
      <c r="H23" s="92">
        <f>((F9/1000)*F18)/2000</f>
        <v>0.11389955947136565</v>
      </c>
      <c r="I23" s="92"/>
      <c r="J23" s="93"/>
    </row>
  </sheetData>
  <sheetProtection password="C7B4" sheet="1" objects="1" scenarios="1"/>
  <mergeCells count="42">
    <mergeCell ref="R11:T11"/>
    <mergeCell ref="R12:T12"/>
    <mergeCell ref="R13:T13"/>
    <mergeCell ref="L7:T7"/>
    <mergeCell ref="R8:T8"/>
    <mergeCell ref="L11:P11"/>
    <mergeCell ref="L12:P12"/>
    <mergeCell ref="L13:P13"/>
    <mergeCell ref="A7:J7"/>
    <mergeCell ref="A8:E8"/>
    <mergeCell ref="G8:J8"/>
    <mergeCell ref="R9:T9"/>
    <mergeCell ref="R10:T10"/>
    <mergeCell ref="A9:E9"/>
    <mergeCell ref="G9:J9"/>
    <mergeCell ref="A10:E10"/>
    <mergeCell ref="G10:J10"/>
    <mergeCell ref="L8:P8"/>
    <mergeCell ref="L9:P9"/>
    <mergeCell ref="L10:P10"/>
    <mergeCell ref="G11:J11"/>
    <mergeCell ref="A23:E23"/>
    <mergeCell ref="F23:G23"/>
    <mergeCell ref="H23:J23"/>
    <mergeCell ref="A19:E19"/>
    <mergeCell ref="G19:J19"/>
    <mergeCell ref="G14:J14"/>
    <mergeCell ref="A11:E11"/>
    <mergeCell ref="A21:J21"/>
    <mergeCell ref="A22:E22"/>
    <mergeCell ref="F22:G22"/>
    <mergeCell ref="H22:J22"/>
    <mergeCell ref="A12:E12"/>
    <mergeCell ref="G12:J12"/>
    <mergeCell ref="A16:J16"/>
    <mergeCell ref="A17:E17"/>
    <mergeCell ref="G17:J17"/>
    <mergeCell ref="A18:E18"/>
    <mergeCell ref="G18:J18"/>
    <mergeCell ref="A13:E13"/>
    <mergeCell ref="G13:J13"/>
    <mergeCell ref="A14:E14"/>
  </mergeCells>
  <pageMargins left="0.7" right="0.7" top="0.75" bottom="0.75" header="0.3" footer="0.3"/>
  <pageSetup scale="87" orientation="portrait" r:id="rId1"/>
  <headerFooter>
    <oddFooter>&amp;L&amp;Z&amp;F</oddFooter>
  </headerFooter>
  <colBreaks count="1" manualBreakCount="1">
    <brk id="10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Winery Emissions</vt:lpstr>
      <vt:lpstr>Wastewater Ponds</vt:lpstr>
      <vt:lpstr>'Wastewater Ponds'!Print_Area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Seong Kim</dc:creator>
  <cp:lastModifiedBy>Seong Kim</cp:lastModifiedBy>
  <cp:lastPrinted>2020-01-08T22:48:58Z</cp:lastPrinted>
  <dcterms:created xsi:type="dcterms:W3CDTF">2018-01-30T21:19:15Z</dcterms:created>
  <dcterms:modified xsi:type="dcterms:W3CDTF">2020-01-08T22:52:13Z</dcterms:modified>
</cp:coreProperties>
</file>